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594" activeTab="0"/>
  </bookViews>
  <sheets>
    <sheet name="Sheet2" sheetId="1" r:id="rId1"/>
  </sheets>
  <definedNames>
    <definedName name="_xlnm.Print_Area" localSheetId="0">'Sheet2'!$A$1:$H$35</definedName>
  </definedNames>
  <calcPr fullCalcOnLoad="1"/>
</workbook>
</file>

<file path=xl/comments1.xml><?xml version="1.0" encoding="utf-8"?>
<comments xmlns="http://schemas.openxmlformats.org/spreadsheetml/2006/main">
  <authors>
    <author>Simona Becheru</author>
  </authors>
  <commentList>
    <comment ref="B30" authorId="0">
      <text>
        <r>
          <rPr>
            <b/>
            <sz val="9"/>
            <rFont val="Tahoma"/>
            <family val="2"/>
          </rPr>
          <t>prima pozitie-Gh.dima, a doua pozitie-Daliei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<sst xmlns="http://schemas.openxmlformats.org/spreadsheetml/2006/main" count="40" uniqueCount="40">
  <si>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t>Nr. Crt.</t>
  </si>
  <si>
    <t>Denumire laborator</t>
  </si>
  <si>
    <t>Total General</t>
  </si>
  <si>
    <t>Punctaj pct.A. Evaluarea capacitatii tehnice</t>
  </si>
  <si>
    <t xml:space="preserve">SCM ALFA DIAGNOSTIC </t>
  </si>
  <si>
    <t>SCM CENTRUL DE DIAGNOSTIC SI MEDICINA DE FAMILIE DR. BACEAN</t>
  </si>
  <si>
    <t>LABORATOR CLINIC DR. BERCEANU SRL</t>
  </si>
  <si>
    <t>LABORATOR CLINIC DR. BERCEANU</t>
  </si>
  <si>
    <t>SC BIOCLINICA SA</t>
  </si>
  <si>
    <t>SC BIODIM SRL</t>
  </si>
  <si>
    <t>SC BIOEXPLOMED SRL</t>
  </si>
  <si>
    <t xml:space="preserve">SC BIOHEM SRL </t>
  </si>
  <si>
    <t>SC CENTRUL DE DIAGNOSTIC MEDICAL SRL</t>
  </si>
  <si>
    <t>SC EXCELLAB SRL</t>
  </si>
  <si>
    <t>SC HIPERDIA SA</t>
  </si>
  <si>
    <t>SC LABORDIAGNOSTICA SRL</t>
  </si>
  <si>
    <t>M.C. MEDICAL SRL</t>
  </si>
  <si>
    <t>SC LABORATOR DE ANALIZE MEDICALE DR. NEGRU SRL</t>
  </si>
  <si>
    <t>SC LABORATOR DE ANALIZE DR. ORBULESCU</t>
  </si>
  <si>
    <t xml:space="preserve">SC SYNEVO ROMANIA SRL </t>
  </si>
  <si>
    <t>SC SMART LAB DIAGNOSTICS SRL</t>
  </si>
  <si>
    <t>Punctaj crit. 2  subcriteriul „indeplinirea
cerintelor pentru calitate si competenta” 50%</t>
  </si>
  <si>
    <t>SPITALUL DR. KARL DIEL JIMBOLIA</t>
  </si>
  <si>
    <t>Punctaj crit. 2 "subcriteriul participare la
schemele de intercomparare laboratoare de analize medicale” 50%</t>
  </si>
  <si>
    <t>CENTRUL MEDICAL DR. CEV</t>
  </si>
  <si>
    <t>Punctaj pct.C. Evaluarea resurselor umane</t>
  </si>
  <si>
    <t>Punctaj pct.B. Logistica</t>
  </si>
  <si>
    <t>SC CLINICA SANTE SRL</t>
  </si>
  <si>
    <t>SC CENTRUL MEDICAL UNIREA SRL - PUNCT DE LUCRU STR.DEMETRIADE</t>
  </si>
  <si>
    <t>SC CENTRUL MEDICAL UNIREA SRL - PUNCT DE LUCRU CALEA SAGULUI</t>
  </si>
  <si>
    <t>CRITERIUL I EVALUARE 50%</t>
  </si>
  <si>
    <t>CRITERIUL II  CALITATE 50%</t>
  </si>
  <si>
    <t xml:space="preserve">Punctaj crit. 1 </t>
  </si>
  <si>
    <t>SPITALUL CLINIC JUDETEAN DE URGENTA PIUS BRINZEU TIMISOARA</t>
  </si>
  <si>
    <t>SPITALUL CLINIC MUNICIPAL TIMISOARA</t>
  </si>
  <si>
    <t>SPITALUL CLINIC DE URGENTA PENTRU COPII LOUIS TURCANU TIMISOARA</t>
  </si>
  <si>
    <t>SC MEDICI'S SRL</t>
  </si>
  <si>
    <t>SC MATERNA CARE SRL</t>
  </si>
  <si>
    <t>SC MED LIFE SA BUCURESTI SUCURSALA TIMISOARA</t>
  </si>
  <si>
    <t>CENTRALIZATOR PUNCTAJE ACTUALIZATE 14.08.2020 - LABORATOR DE ANALIZE MEDICALE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</si>
</sst>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[$€-2]\ #,##0.00_);[Red]\([$€-2]\ #,##0.00\)"/>
  </numFmts>
  <fonts count="50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SheetLayoutView="50" zoomScalePageLayoutView="0" workbookViewId="0" topLeftCell="A1">
      <selection activeCell="D45" sqref="D45"/>
    </sheetView>
  </sheetViews>
  <sheetFormatPr defaultColWidth="9.140625" defaultRowHeight="12.75"/>
  <cols>
    <col min="1" max="1" width="9.28125" style="1" customWidth="1"/>
    <col min="2" max="2" width="45.8515625" style="1" customWidth="1"/>
    <col min="3" max="3" width="20.57421875" style="1" customWidth="1"/>
    <col min="4" max="4" width="19.28125" style="1" customWidth="1"/>
    <col min="5" max="5" width="19.7109375" style="1" customWidth="1"/>
    <col min="6" max="6" width="18.8515625" style="1" customWidth="1"/>
    <col min="7" max="7" width="22.421875" style="2" customWidth="1"/>
    <col min="8" max="8" width="27.00390625" style="2" customWidth="1"/>
    <col min="9" max="9" width="14.140625" style="1" customWidth="1"/>
    <col min="10" max="16384" width="9.140625" style="1" customWidth="1"/>
  </cols>
  <sheetData>
    <row r="1" spans="1:8" s="11" customFormat="1" ht="25.5" customHeight="1">
      <c r="A1" s="22"/>
      <c r="C1" s="12"/>
      <c r="D1" s="12"/>
      <c r="E1" s="12"/>
      <c r="F1" s="12"/>
      <c r="G1" s="12"/>
      <c r="H1" s="12"/>
    </row>
    <row r="2" spans="1:8" ht="33" customHeight="1">
      <c r="A2" s="3"/>
      <c r="B2" s="4" t="s">
        <v>39</v>
      </c>
      <c r="D2" s="4"/>
      <c r="E2" s="4"/>
      <c r="F2" s="4"/>
      <c r="G2" s="4"/>
      <c r="H2" s="4"/>
    </row>
    <row r="3" spans="1:8" ht="33" customHeight="1">
      <c r="A3" s="3"/>
      <c r="B3" s="4"/>
      <c r="D3" s="4"/>
      <c r="E3" s="4"/>
      <c r="F3" s="4"/>
      <c r="G3" s="4"/>
      <c r="H3" s="4"/>
    </row>
    <row r="4" spans="1:8" ht="33" customHeight="1">
      <c r="A4" s="23" t="s">
        <v>0</v>
      </c>
      <c r="B4" s="25" t="s">
        <v>1</v>
      </c>
      <c r="C4" s="27" t="s">
        <v>30</v>
      </c>
      <c r="D4" s="28"/>
      <c r="E4" s="28"/>
      <c r="F4" s="29"/>
      <c r="G4" s="27" t="s">
        <v>31</v>
      </c>
      <c r="H4" s="29"/>
    </row>
    <row r="5" spans="1:8" ht="157.5" customHeight="1">
      <c r="A5" s="24"/>
      <c r="B5" s="26"/>
      <c r="C5" s="9" t="s">
        <v>3</v>
      </c>
      <c r="D5" s="9" t="s">
        <v>26</v>
      </c>
      <c r="E5" s="9" t="s">
        <v>25</v>
      </c>
      <c r="F5" s="10" t="s">
        <v>32</v>
      </c>
      <c r="G5" s="10" t="s">
        <v>21</v>
      </c>
      <c r="H5" s="10" t="s">
        <v>23</v>
      </c>
    </row>
    <row r="6" spans="1:10" ht="43.5" customHeight="1">
      <c r="A6" s="15">
        <v>1</v>
      </c>
      <c r="B6" s="16" t="s">
        <v>10</v>
      </c>
      <c r="C6" s="17">
        <f>504.4-9-0.8-0.8</f>
        <v>493.79999999999995</v>
      </c>
      <c r="D6" s="17">
        <v>17</v>
      </c>
      <c r="E6" s="17">
        <f>148.57-2.86-(17.14-4.29)-4.29</f>
        <v>128.57</v>
      </c>
      <c r="F6" s="18">
        <f>C6+D6+E6</f>
        <v>639.3699999999999</v>
      </c>
      <c r="G6" s="18">
        <v>96</v>
      </c>
      <c r="H6" s="18">
        <v>391</v>
      </c>
      <c r="J6" s="2"/>
    </row>
    <row r="7" spans="1:10" ht="55.5" customHeight="1">
      <c r="A7" s="15">
        <v>2</v>
      </c>
      <c r="B7" s="16" t="s">
        <v>29</v>
      </c>
      <c r="C7" s="17">
        <f>1565.2-40-48.6+79-20.6-67.6-1.2</f>
        <v>1466.2000000000003</v>
      </c>
      <c r="D7" s="17">
        <v>24</v>
      </c>
      <c r="E7" s="17">
        <f>89.43-30+40+15+20-11.43-15-15+15-40+40</f>
        <v>108</v>
      </c>
      <c r="F7" s="18">
        <f>E7+D7+C7</f>
        <v>1598.2000000000003</v>
      </c>
      <c r="G7" s="18">
        <f>133-10</f>
        <v>123</v>
      </c>
      <c r="H7" s="18">
        <v>646</v>
      </c>
      <c r="J7" s="2"/>
    </row>
    <row r="8" spans="1:10" ht="60" customHeight="1">
      <c r="A8" s="15">
        <v>2</v>
      </c>
      <c r="B8" s="16" t="s">
        <v>28</v>
      </c>
      <c r="C8" s="17">
        <f>648.4-30.4</f>
        <v>618</v>
      </c>
      <c r="D8" s="17">
        <v>12</v>
      </c>
      <c r="E8" s="17">
        <f>100-15-40+30+40-25+15</f>
        <v>105</v>
      </c>
      <c r="F8" s="18">
        <f aca="true" t="shared" si="0" ref="F8:F33">E8+D8+C8</f>
        <v>735</v>
      </c>
      <c r="G8" s="18">
        <v>128</v>
      </c>
      <c r="H8" s="18">
        <v>702</v>
      </c>
      <c r="J8" s="2"/>
    </row>
    <row r="9" spans="1:10" ht="34.5" customHeight="1">
      <c r="A9" s="15">
        <v>3</v>
      </c>
      <c r="B9" s="16" t="s">
        <v>16</v>
      </c>
      <c r="C9" s="17">
        <f>1168.72+127+10+122-6-16.52-0.8</f>
        <v>1404.4</v>
      </c>
      <c r="D9" s="17">
        <v>24</v>
      </c>
      <c r="E9" s="17">
        <f>192.86-2.86+2.86-40-4.28+2.85+1.42</f>
        <v>152.85</v>
      </c>
      <c r="F9" s="18">
        <f t="shared" si="0"/>
        <v>1581.25</v>
      </c>
      <c r="G9" s="18">
        <v>117</v>
      </c>
      <c r="H9" s="18">
        <v>676</v>
      </c>
      <c r="J9" s="2"/>
    </row>
    <row r="10" spans="1:10" ht="34.5" customHeight="1">
      <c r="A10" s="15">
        <v>4</v>
      </c>
      <c r="B10" s="16" t="s">
        <v>11</v>
      </c>
      <c r="C10" s="17">
        <f>513.24-10.88-2-1-5</f>
        <v>494.36</v>
      </c>
      <c r="D10" s="17">
        <v>24</v>
      </c>
      <c r="E10" s="17">
        <f>59.99-7.14</f>
        <v>52.85</v>
      </c>
      <c r="F10" s="18">
        <f t="shared" si="0"/>
        <v>571.21</v>
      </c>
      <c r="G10" s="18">
        <v>128</v>
      </c>
      <c r="H10" s="18">
        <v>632</v>
      </c>
      <c r="J10" s="2"/>
    </row>
    <row r="11" spans="1:10" ht="34.5" customHeight="1">
      <c r="A11" s="15">
        <v>5</v>
      </c>
      <c r="B11" s="16" t="s">
        <v>14</v>
      </c>
      <c r="C11" s="17">
        <f>523.8-6-6-25.4-2-0.6+5</f>
        <v>488.79999999999995</v>
      </c>
      <c r="D11" s="17">
        <v>24</v>
      </c>
      <c r="E11" s="17">
        <f>98.14-28.57-15-20+21.43</f>
        <v>55.99999999999999</v>
      </c>
      <c r="F11" s="18">
        <f t="shared" si="0"/>
        <v>568.8</v>
      </c>
      <c r="G11" s="18">
        <v>122</v>
      </c>
      <c r="H11" s="18">
        <v>1023</v>
      </c>
      <c r="J11" s="2"/>
    </row>
    <row r="12" spans="1:10" ht="34.5" customHeight="1">
      <c r="A12" s="15">
        <v>6</v>
      </c>
      <c r="B12" s="16" t="s">
        <v>27</v>
      </c>
      <c r="C12" s="17">
        <v>489</v>
      </c>
      <c r="D12" s="17">
        <v>24</v>
      </c>
      <c r="E12" s="17">
        <f>185-15-40</f>
        <v>130</v>
      </c>
      <c r="F12" s="18">
        <f t="shared" si="0"/>
        <v>643</v>
      </c>
      <c r="G12" s="18">
        <f>138+8</f>
        <v>146</v>
      </c>
      <c r="H12" s="18">
        <v>912</v>
      </c>
      <c r="J12" s="2"/>
    </row>
    <row r="13" spans="1:10" ht="34.5" customHeight="1">
      <c r="A13" s="15">
        <v>7</v>
      </c>
      <c r="B13" s="16" t="s">
        <v>38</v>
      </c>
      <c r="C13" s="17">
        <f>1193.76-9-2-2-6-0.8-0.8</f>
        <v>1173.16</v>
      </c>
      <c r="D13" s="17">
        <v>24</v>
      </c>
      <c r="E13" s="17">
        <f>198.57-40-10+30+15-15+15+15+15</f>
        <v>223.57</v>
      </c>
      <c r="F13" s="18">
        <f t="shared" si="0"/>
        <v>1420.73</v>
      </c>
      <c r="G13" s="18">
        <v>155</v>
      </c>
      <c r="H13" s="18">
        <v>944</v>
      </c>
      <c r="J13" s="2"/>
    </row>
    <row r="14" spans="1:10" ht="45.75" customHeight="1">
      <c r="A14" s="15">
        <v>8</v>
      </c>
      <c r="B14" s="16" t="s">
        <v>5</v>
      </c>
      <c r="C14" s="17">
        <f>598.9-2-17.3-1-3-5</f>
        <v>570.6</v>
      </c>
      <c r="D14" s="17">
        <v>24</v>
      </c>
      <c r="E14" s="17">
        <f>128.86-4.57-14.29-14.29</f>
        <v>95.71000000000004</v>
      </c>
      <c r="F14" s="18">
        <f t="shared" si="0"/>
        <v>690.3100000000001</v>
      </c>
      <c r="G14" s="18">
        <v>125</v>
      </c>
      <c r="H14" s="18">
        <v>645</v>
      </c>
      <c r="J14" s="2"/>
    </row>
    <row r="15" spans="1:10" ht="34.5" customHeight="1">
      <c r="A15" s="15">
        <v>9</v>
      </c>
      <c r="B15" s="16" t="s">
        <v>12</v>
      </c>
      <c r="C15" s="17">
        <f>835.8-12-20.6-20.6-20.32-0.8</f>
        <v>761.4799999999999</v>
      </c>
      <c r="D15" s="17">
        <v>24</v>
      </c>
      <c r="E15" s="17">
        <f>155.58-22.86</f>
        <v>132.72000000000003</v>
      </c>
      <c r="F15" s="18">
        <f t="shared" si="0"/>
        <v>918.1999999999999</v>
      </c>
      <c r="G15" s="18">
        <v>143</v>
      </c>
      <c r="H15" s="18">
        <v>636</v>
      </c>
      <c r="J15" s="2"/>
    </row>
    <row r="16" spans="1:10" ht="38.25" customHeight="1">
      <c r="A16" s="15">
        <v>10</v>
      </c>
      <c r="B16" s="16" t="s">
        <v>8</v>
      </c>
      <c r="C16" s="17">
        <f>1550.2-4</f>
        <v>1546.2</v>
      </c>
      <c r="D16" s="17">
        <v>24</v>
      </c>
      <c r="E16" s="17">
        <f>1057.57-15-10+15-40+30-15-25-15-30+15-22.86</f>
        <v>944.7099999999999</v>
      </c>
      <c r="F16" s="18">
        <f t="shared" si="0"/>
        <v>2514.91</v>
      </c>
      <c r="G16" s="18">
        <v>161</v>
      </c>
      <c r="H16" s="18">
        <v>1066</v>
      </c>
      <c r="J16" s="2"/>
    </row>
    <row r="17" spans="1:10" ht="34.5" customHeight="1">
      <c r="A17" s="15">
        <v>11</v>
      </c>
      <c r="B17" s="16" t="s">
        <v>18</v>
      </c>
      <c r="C17" s="17">
        <f>621.4-14.96-20.4</f>
        <v>586.04</v>
      </c>
      <c r="D17" s="17">
        <v>24</v>
      </c>
      <c r="E17" s="17">
        <v>65</v>
      </c>
      <c r="F17" s="18">
        <f>E17+D17+C17</f>
        <v>675.04</v>
      </c>
      <c r="G17" s="18">
        <f>133-5</f>
        <v>128</v>
      </c>
      <c r="H17" s="18">
        <v>635</v>
      </c>
      <c r="J17" s="2"/>
    </row>
    <row r="18" spans="1:10" ht="34.5" customHeight="1">
      <c r="A18" s="15">
        <v>12</v>
      </c>
      <c r="B18" s="16" t="s">
        <v>36</v>
      </c>
      <c r="C18" s="17">
        <f>534.4-0.8-96.4-10+15+178+6-6</f>
        <v>620.2</v>
      </c>
      <c r="D18" s="17">
        <v>24</v>
      </c>
      <c r="E18" s="17">
        <f>80.43-20+3.43</f>
        <v>63.86000000000001</v>
      </c>
      <c r="F18" s="18">
        <f t="shared" si="0"/>
        <v>708.0600000000001</v>
      </c>
      <c r="G18" s="18">
        <v>94</v>
      </c>
      <c r="H18" s="18">
        <v>409</v>
      </c>
      <c r="J18" s="2"/>
    </row>
    <row r="19" spans="1:10" ht="34.5" customHeight="1">
      <c r="A19" s="15">
        <v>13</v>
      </c>
      <c r="B19" s="16" t="s">
        <v>4</v>
      </c>
      <c r="C19" s="17">
        <f>398.2-2-2-1-3</f>
        <v>390.2</v>
      </c>
      <c r="D19" s="17">
        <v>24</v>
      </c>
      <c r="E19" s="17">
        <f>84.29-14.29</f>
        <v>70</v>
      </c>
      <c r="F19" s="18">
        <f t="shared" si="0"/>
        <v>484.2</v>
      </c>
      <c r="G19" s="18">
        <v>65</v>
      </c>
      <c r="H19" s="18">
        <v>359</v>
      </c>
      <c r="J19" s="2"/>
    </row>
    <row r="20" spans="1:10" ht="34.5" customHeight="1">
      <c r="A20" s="15">
        <v>14</v>
      </c>
      <c r="B20" s="16" t="s">
        <v>7</v>
      </c>
      <c r="C20" s="17">
        <f>1076-58.6</f>
        <v>1017.4</v>
      </c>
      <c r="D20" s="17">
        <v>24</v>
      </c>
      <c r="E20" s="17">
        <f>189.85-17.14</f>
        <v>172.70999999999998</v>
      </c>
      <c r="F20" s="18">
        <f t="shared" si="0"/>
        <v>1214.11</v>
      </c>
      <c r="G20" s="18">
        <v>160</v>
      </c>
      <c r="H20" s="18">
        <v>661</v>
      </c>
      <c r="J20" s="2"/>
    </row>
    <row r="21" spans="1:10" ht="34.5" customHeight="1">
      <c r="A21" s="15">
        <v>15</v>
      </c>
      <c r="B21" s="16" t="s">
        <v>17</v>
      </c>
      <c r="C21" s="17">
        <v>671.82</v>
      </c>
      <c r="D21" s="17">
        <v>24</v>
      </c>
      <c r="E21" s="17">
        <f>125.07-30+12.5+12.5-30+4.57</f>
        <v>94.63999999999999</v>
      </c>
      <c r="F21" s="18">
        <f t="shared" si="0"/>
        <v>790.46</v>
      </c>
      <c r="G21" s="18">
        <v>159</v>
      </c>
      <c r="H21" s="18">
        <v>954</v>
      </c>
      <c r="J21" s="2"/>
    </row>
    <row r="22" spans="1:10" ht="36" customHeight="1">
      <c r="A22" s="15">
        <v>16</v>
      </c>
      <c r="B22" s="16" t="s">
        <v>15</v>
      </c>
      <c r="C22" s="17">
        <f>864-23-38.4</f>
        <v>802.6</v>
      </c>
      <c r="D22" s="17">
        <v>24</v>
      </c>
      <c r="E22" s="17">
        <f>84.07+30-2.28</f>
        <v>111.78999999999999</v>
      </c>
      <c r="F22" s="18">
        <f t="shared" si="0"/>
        <v>938.39</v>
      </c>
      <c r="G22" s="18">
        <v>152</v>
      </c>
      <c r="H22" s="18">
        <v>964</v>
      </c>
      <c r="J22" s="2"/>
    </row>
    <row r="23" spans="1:10" ht="34.5" customHeight="1">
      <c r="A23" s="15">
        <v>17</v>
      </c>
      <c r="B23" s="16" t="s">
        <v>20</v>
      </c>
      <c r="C23" s="17">
        <f>404+158</f>
        <v>562</v>
      </c>
      <c r="D23" s="17">
        <v>24</v>
      </c>
      <c r="E23" s="17">
        <f>124.79-30-5-5</f>
        <v>84.79</v>
      </c>
      <c r="F23" s="18">
        <f t="shared" si="0"/>
        <v>670.79</v>
      </c>
      <c r="G23" s="18">
        <v>152</v>
      </c>
      <c r="H23" s="18">
        <v>955</v>
      </c>
      <c r="J23" s="2"/>
    </row>
    <row r="24" spans="1:10" ht="34.5" customHeight="1">
      <c r="A24" s="15">
        <v>18</v>
      </c>
      <c r="B24" s="16" t="s">
        <v>19</v>
      </c>
      <c r="C24" s="17">
        <f>587.8-115-152+115+230-102.8</f>
        <v>563</v>
      </c>
      <c r="D24" s="17">
        <v>24</v>
      </c>
      <c r="E24" s="17">
        <f>210-20+20</f>
        <v>210</v>
      </c>
      <c r="F24" s="18">
        <f t="shared" si="0"/>
        <v>797</v>
      </c>
      <c r="G24" s="18">
        <f>141-1</f>
        <v>140</v>
      </c>
      <c r="H24" s="18">
        <v>820</v>
      </c>
      <c r="J24" s="2"/>
    </row>
    <row r="25" spans="1:10" ht="38.25" customHeight="1">
      <c r="A25" s="15">
        <v>19</v>
      </c>
      <c r="B25" s="16" t="s">
        <v>6</v>
      </c>
      <c r="C25" s="17">
        <f>807.8-9-2-2-20.6-20.4-2</f>
        <v>751.8</v>
      </c>
      <c r="D25" s="17">
        <v>24</v>
      </c>
      <c r="E25" s="17">
        <f>118.71+8+8</f>
        <v>134.70999999999998</v>
      </c>
      <c r="F25" s="18">
        <f t="shared" si="0"/>
        <v>910.51</v>
      </c>
      <c r="G25" s="18">
        <v>154</v>
      </c>
      <c r="H25" s="18">
        <v>661</v>
      </c>
      <c r="J25" s="2"/>
    </row>
    <row r="26" spans="1:10" ht="34.5" customHeight="1">
      <c r="A26" s="15">
        <v>20</v>
      </c>
      <c r="B26" s="16" t="s">
        <v>9</v>
      </c>
      <c r="C26" s="17">
        <f>239.4-24.4+170-103+127+40</f>
        <v>449</v>
      </c>
      <c r="D26" s="17">
        <v>24</v>
      </c>
      <c r="E26" s="17">
        <f>121.4+20-40</f>
        <v>101.4</v>
      </c>
      <c r="F26" s="18">
        <f t="shared" si="0"/>
        <v>574.4</v>
      </c>
      <c r="G26" s="18">
        <v>85</v>
      </c>
      <c r="H26" s="18">
        <v>354</v>
      </c>
      <c r="J26" s="2"/>
    </row>
    <row r="27" spans="1:10" ht="34.5" customHeight="1">
      <c r="A27" s="15">
        <v>21</v>
      </c>
      <c r="B27" s="16" t="s">
        <v>13</v>
      </c>
      <c r="C27" s="17">
        <f>1212.2-2-10+40+30-2-25.4-1-0.8-8-10+40+20</f>
        <v>1283</v>
      </c>
      <c r="D27" s="17">
        <v>24</v>
      </c>
      <c r="E27" s="17">
        <f>123.58-14.29-15</f>
        <v>94.28999999999999</v>
      </c>
      <c r="F27" s="18">
        <f t="shared" si="0"/>
        <v>1401.29</v>
      </c>
      <c r="G27" s="18">
        <f>114+8-2</f>
        <v>120</v>
      </c>
      <c r="H27" s="18">
        <v>673</v>
      </c>
      <c r="J27" s="2"/>
    </row>
    <row r="28" spans="1:10" ht="56.25" customHeight="1">
      <c r="A28" s="15">
        <v>22</v>
      </c>
      <c r="B28" s="16" t="s">
        <v>33</v>
      </c>
      <c r="C28" s="17">
        <f>1497-9-4-8-23-23-6-4-34-31.6-27-12-92+45+20+115</f>
        <v>1403.4</v>
      </c>
      <c r="D28" s="17">
        <v>20</v>
      </c>
      <c r="E28" s="17">
        <f>1150-15+20+10+8+8-40-8+8-20+20-8</f>
        <v>1133</v>
      </c>
      <c r="F28" s="18">
        <f t="shared" si="0"/>
        <v>2556.4</v>
      </c>
      <c r="G28" s="18">
        <v>160</v>
      </c>
      <c r="H28" s="18">
        <v>1261</v>
      </c>
      <c r="J28" s="2"/>
    </row>
    <row r="29" spans="1:10" ht="34.5" customHeight="1">
      <c r="A29" s="15">
        <v>23</v>
      </c>
      <c r="B29" s="16" t="s">
        <v>22</v>
      </c>
      <c r="C29" s="17">
        <f>583-2-2-6-4-4-14.32-34</f>
        <v>516.68</v>
      </c>
      <c r="D29" s="17">
        <v>20</v>
      </c>
      <c r="E29" s="17">
        <v>77.57</v>
      </c>
      <c r="F29" s="18">
        <f t="shared" si="0"/>
        <v>614.25</v>
      </c>
      <c r="G29" s="18">
        <v>78</v>
      </c>
      <c r="H29" s="18">
        <v>420</v>
      </c>
      <c r="J29" s="2"/>
    </row>
    <row r="30" spans="1:10" ht="34.5" customHeight="1">
      <c r="A30" s="15">
        <v>24</v>
      </c>
      <c r="B30" s="16" t="s">
        <v>34</v>
      </c>
      <c r="C30" s="17">
        <f>510.72-6-0.8-0.8-0.8+375.04-8-1</f>
        <v>868.36</v>
      </c>
      <c r="D30" s="17">
        <f>17+12</f>
        <v>29</v>
      </c>
      <c r="E30" s="17">
        <f>456+414-8-8-8-8-25-8</f>
        <v>805</v>
      </c>
      <c r="F30" s="18">
        <f t="shared" si="0"/>
        <v>1702.3600000000001</v>
      </c>
      <c r="G30" s="18">
        <f>113+65</f>
        <v>178</v>
      </c>
      <c r="H30" s="18">
        <f>494+294</f>
        <v>788</v>
      </c>
      <c r="J30" s="2"/>
    </row>
    <row r="31" spans="1:10" ht="48" customHeight="1">
      <c r="A31" s="15">
        <v>25</v>
      </c>
      <c r="B31" s="16" t="s">
        <v>35</v>
      </c>
      <c r="C31" s="17">
        <f>738.2-40+40-0+20+5-9-20.56</f>
        <v>733.6400000000001</v>
      </c>
      <c r="D31" s="17">
        <v>20</v>
      </c>
      <c r="E31" s="17">
        <v>411</v>
      </c>
      <c r="F31" s="18">
        <f t="shared" si="0"/>
        <v>1164.64</v>
      </c>
      <c r="G31" s="18">
        <v>110</v>
      </c>
      <c r="H31" s="18">
        <v>472</v>
      </c>
      <c r="J31" s="2"/>
    </row>
    <row r="32" spans="1:10" ht="36" customHeight="1">
      <c r="A32" s="15">
        <v>26</v>
      </c>
      <c r="B32" s="16" t="s">
        <v>24</v>
      </c>
      <c r="C32" s="17">
        <f>520-8-1-24.4</f>
        <v>486.6</v>
      </c>
      <c r="D32" s="17">
        <f>19</f>
        <v>19</v>
      </c>
      <c r="E32" s="17">
        <f>95</f>
        <v>95</v>
      </c>
      <c r="F32" s="18">
        <f t="shared" si="0"/>
        <v>600.6</v>
      </c>
      <c r="G32" s="18">
        <f>107</f>
        <v>107</v>
      </c>
      <c r="H32" s="18">
        <v>635</v>
      </c>
      <c r="J32" s="2"/>
    </row>
    <row r="33" spans="1:10" ht="34.5" customHeight="1">
      <c r="A33" s="15">
        <v>27</v>
      </c>
      <c r="B33" s="16" t="s">
        <v>37</v>
      </c>
      <c r="C33" s="17">
        <f>252.8+40+20+33.6-10-10</f>
        <v>326.40000000000003</v>
      </c>
      <c r="D33" s="17">
        <v>24</v>
      </c>
      <c r="E33" s="17">
        <f>108.71-5.71-25+30-40</f>
        <v>68</v>
      </c>
      <c r="F33" s="18">
        <f t="shared" si="0"/>
        <v>418.40000000000003</v>
      </c>
      <c r="G33" s="18">
        <v>93</v>
      </c>
      <c r="H33" s="18">
        <v>186</v>
      </c>
      <c r="J33" s="2"/>
    </row>
    <row r="34" spans="1:8" s="7" customFormat="1" ht="32.25" customHeight="1">
      <c r="A34" s="8"/>
      <c r="B34" s="13" t="s">
        <v>2</v>
      </c>
      <c r="C34" s="20">
        <f aca="true" t="shared" si="1" ref="C34:H34">SUM(C6:C33)</f>
        <v>21538.140000000003</v>
      </c>
      <c r="D34" s="20">
        <f t="shared" si="1"/>
        <v>641</v>
      </c>
      <c r="E34" s="20">
        <f t="shared" si="1"/>
        <v>5922.74</v>
      </c>
      <c r="F34" s="20">
        <f t="shared" si="1"/>
        <v>28101.880000000005</v>
      </c>
      <c r="G34" s="20">
        <f t="shared" si="1"/>
        <v>3579</v>
      </c>
      <c r="H34" s="20">
        <f t="shared" si="1"/>
        <v>19480</v>
      </c>
    </row>
    <row r="35" spans="1:8" s="7" customFormat="1" ht="32.25" customHeight="1">
      <c r="A35" s="19"/>
      <c r="B35" s="14"/>
      <c r="C35" s="21"/>
      <c r="D35" s="21"/>
      <c r="E35" s="21"/>
      <c r="F35" s="21"/>
      <c r="G35" s="21"/>
      <c r="H35" s="21"/>
    </row>
    <row r="36" ht="21" customHeight="1"/>
    <row r="37" ht="22.5" customHeight="1">
      <c r="B37" s="5"/>
    </row>
    <row r="38" ht="22.5" customHeight="1">
      <c r="B38" s="5"/>
    </row>
    <row r="39" ht="22.5" customHeight="1">
      <c r="B39" s="5"/>
    </row>
    <row r="40" spans="3:7" ht="18.75">
      <c r="C40" s="6"/>
      <c r="D40" s="6"/>
      <c r="E40" s="6"/>
      <c r="F40" s="6"/>
      <c r="G40" s="6"/>
    </row>
    <row r="41" spans="3:7" ht="18.75">
      <c r="C41" s="6"/>
      <c r="D41" s="6"/>
      <c r="E41" s="6"/>
      <c r="F41" s="6"/>
      <c r="G41" s="6"/>
    </row>
    <row r="42" spans="3:7" ht="18.75">
      <c r="C42" s="6"/>
      <c r="D42" s="6"/>
      <c r="E42" s="6"/>
      <c r="F42" s="6"/>
      <c r="G42" s="6"/>
    </row>
    <row r="43" ht="18.75">
      <c r="G43" s="6"/>
    </row>
    <row r="44" ht="18.75">
      <c r="G44" s="6"/>
    </row>
  </sheetData>
  <sheetProtection/>
  <mergeCells count="4">
    <mergeCell ref="A4:A5"/>
    <mergeCell ref="B4:B5"/>
    <mergeCell ref="C4:F4"/>
    <mergeCell ref="G4:H4"/>
  </mergeCells>
  <printOptions/>
  <pageMargins left="0.7874015748031497" right="0.5118110236220472" top="0.2755905511811024" bottom="0.15748031496062992" header="0.2362204724409449" footer="0.11811023622047245"/>
  <pageSetup horizontalDpi="300" verticalDpi="300" orientation="portrait" paperSize="9" scale="48" r:id="rId3"/>
  <rowBreaks count="1" manualBreakCount="1">
    <brk id="42" max="17" man="1"/>
  </rowBreaks>
  <colBreaks count="1" manualBreakCount="1">
    <brk id="8" max="11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2020-08-18T12:29:55Z</cp:lastPrinted>
  <dcterms:created xsi:type="dcterms:W3CDTF">2004-01-09T07:03:24Z</dcterms:created>
  <dcterms:modified xsi:type="dcterms:W3CDTF">2020-08-20T12:54:53Z</dcterms:modified>
  <cp:category/>
  <cp:version/>
  <cp:contentType/>
  <cp:contentStatus/>
</cp:coreProperties>
</file>